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X\Google Drive\חומרים השקעות\מבטח שמיר\"/>
    </mc:Choice>
  </mc:AlternateContent>
  <xr:revisionPtr revIDLastSave="0" documentId="13_ncr:1_{FE22F11C-5755-4238-B1D4-5A75BA533E00}" xr6:coauthVersionLast="45" xr6:coauthVersionMax="45" xr10:uidLastSave="{00000000-0000-0000-0000-000000000000}"/>
  <bookViews>
    <workbookView xWindow="-90" yWindow="-90" windowWidth="19380" windowHeight="10380" tabRatio="994" xr2:uid="{00000000-000D-0000-FFFF-FFFF00000000}"/>
  </bookViews>
  <sheets>
    <sheet name="הערכת שווי מניף" sheetId="20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20" l="1"/>
  <c r="B79" i="20"/>
  <c r="B84" i="20" l="1"/>
  <c r="C78" i="20"/>
  <c r="D78" i="20"/>
  <c r="B78" i="20"/>
  <c r="C77" i="20"/>
  <c r="D77" i="20"/>
  <c r="B77" i="20"/>
  <c r="B75" i="20"/>
  <c r="B63" i="20"/>
  <c r="C63" i="20"/>
  <c r="C65" i="20" s="1"/>
  <c r="C66" i="20" s="1"/>
  <c r="D63" i="20"/>
  <c r="D65" i="20" s="1"/>
  <c r="D66" i="20" s="1"/>
  <c r="B49" i="20"/>
  <c r="C49" i="20"/>
  <c r="C50" i="20" s="1"/>
  <c r="E3" i="20"/>
  <c r="D45" i="20" s="1"/>
  <c r="D46" i="20" s="1"/>
  <c r="C45" i="20"/>
  <c r="C46" i="20" s="1"/>
  <c r="B45" i="20"/>
  <c r="B46" i="20" s="1"/>
  <c r="D49" i="20"/>
  <c r="E4" i="20"/>
  <c r="D39" i="20" s="1"/>
  <c r="C39" i="20"/>
  <c r="B39" i="20"/>
  <c r="C34" i="20"/>
  <c r="C38" i="20" s="1"/>
  <c r="D34" i="20"/>
  <c r="D38" i="20" s="1"/>
  <c r="B34" i="20"/>
  <c r="B38" i="20" s="1"/>
  <c r="C11" i="20"/>
  <c r="C12" i="20" s="1"/>
  <c r="C13" i="20"/>
  <c r="C15" i="20"/>
  <c r="B15" i="20"/>
  <c r="C14" i="20"/>
  <c r="B14" i="20"/>
  <c r="B13" i="20"/>
  <c r="B11" i="20"/>
  <c r="B12" i="20" s="1"/>
  <c r="B80" i="20" l="1"/>
  <c r="B81" i="20" s="1"/>
  <c r="C79" i="20"/>
  <c r="C80" i="20" s="1"/>
  <c r="E49" i="20"/>
  <c r="D54" i="20" s="1"/>
  <c r="D79" i="20"/>
  <c r="D80" i="20" s="1"/>
  <c r="B54" i="20"/>
  <c r="B50" i="20"/>
  <c r="B52" i="20" s="1"/>
  <c r="D50" i="20"/>
  <c r="D40" i="20"/>
  <c r="C54" i="20"/>
  <c r="B40" i="20"/>
  <c r="C40" i="20"/>
  <c r="E50" i="20" l="1"/>
  <c r="D52" i="20" s="1"/>
  <c r="D53" i="20" s="1"/>
  <c r="D55" i="20" s="1"/>
  <c r="C52" i="20"/>
  <c r="C53" i="20" s="1"/>
  <c r="B82" i="20"/>
  <c r="B83" i="20"/>
  <c r="B85" i="20" s="1"/>
  <c r="C55" i="20"/>
  <c r="B53" i="20"/>
  <c r="B55" i="20" l="1"/>
  <c r="B66" i="20"/>
  <c r="B67" i="20" l="1"/>
  <c r="B68" i="20" s="1"/>
  <c r="B69" i="20" s="1"/>
  <c r="B71" i="20" s="1"/>
</calcChain>
</file>

<file path=xl/sharedStrings.xml><?xml version="1.0" encoding="utf-8"?>
<sst xmlns="http://schemas.openxmlformats.org/spreadsheetml/2006/main" count="80" uniqueCount="58">
  <si>
    <t>נכסים</t>
  </si>
  <si>
    <t>התחייבויות</t>
  </si>
  <si>
    <t>רווח לפני מס</t>
  </si>
  <si>
    <t>הון עצמי</t>
  </si>
  <si>
    <t xml:space="preserve">תיק אשראי </t>
  </si>
  <si>
    <t>הון עצמי ממוצע</t>
  </si>
  <si>
    <t>רווח נקי</t>
  </si>
  <si>
    <t>תשואה על הון עצמי ממוצע</t>
  </si>
  <si>
    <t>תשואה על תיק אשראי ממוצע</t>
  </si>
  <si>
    <t>רווח לפני מס להכנסות מימון</t>
  </si>
  <si>
    <t>הכנסות מימון</t>
  </si>
  <si>
    <t>הוצאות מימון</t>
  </si>
  <si>
    <t>הכנסות מימון נטו</t>
  </si>
  <si>
    <t>הוצאות הנהלה וכלליות</t>
  </si>
  <si>
    <t>שיעור מס משתמע</t>
  </si>
  <si>
    <t>אשראי חיצוני ממוצע</t>
  </si>
  <si>
    <t>ריבית ממוצעת על אשראי מבעלי המניות</t>
  </si>
  <si>
    <t>X2017</t>
  </si>
  <si>
    <t>X2018</t>
  </si>
  <si>
    <t>X2019</t>
  </si>
  <si>
    <t>68,744-X2019</t>
  </si>
  <si>
    <t>55,235-X2018</t>
  </si>
  <si>
    <t>40,919-X2017</t>
  </si>
  <si>
    <t>Y2017</t>
  </si>
  <si>
    <t>Y2018</t>
  </si>
  <si>
    <t>Y2019</t>
  </si>
  <si>
    <t>הערכה לפי יחס ההכנסות</t>
  </si>
  <si>
    <t>הלוואת בעלים ממבטח שמיר</t>
  </si>
  <si>
    <t>ריבית מוערכת על הלוואות בנקאיות</t>
  </si>
  <si>
    <t>הלוואות נותרות-  בנקאיות</t>
  </si>
  <si>
    <t>הוצאות מימון בנקאיות</t>
  </si>
  <si>
    <t>הוצאות מימון נותרות - הלוואת בעלים</t>
  </si>
  <si>
    <t>הלוואת בעלים ממוצעת לתקופה</t>
  </si>
  <si>
    <t>הלוואת בעלים כוללת מדיסקונט ומבטח בהנחה שהיחס זהה ליחס הבעלות</t>
  </si>
  <si>
    <t>ריבית מוערכת על הלוואות בעלים</t>
  </si>
  <si>
    <t>הוצאות מימון מוערכות</t>
  </si>
  <si>
    <t>הוצאות מימון וחומ"ס</t>
  </si>
  <si>
    <t>הוצאות מימון וחובות מסופקים</t>
  </si>
  <si>
    <t>הערכה לחומ"ס לפי 1% מהצמיחה בתיק</t>
  </si>
  <si>
    <t>הוצאות מימון (לא כולל חומ"ס)</t>
  </si>
  <si>
    <t>הלוואות מבעלי מניות</t>
  </si>
  <si>
    <t>ריבית מוערכת</t>
  </si>
  <si>
    <t>הוצאות מימון לבעלים</t>
  </si>
  <si>
    <t>הוצאות מימון אחרי החלפה לחוב בריבית של 2.5%</t>
  </si>
  <si>
    <t>תוספת לרווח אחרי מס</t>
  </si>
  <si>
    <t>רווח נקי לאחר החלפת חוב</t>
  </si>
  <si>
    <t>שווי חלקה של מבטח</t>
  </si>
  <si>
    <t>פלוס מזומן משועבד</t>
  </si>
  <si>
    <t>סה"כ שווי מניף למבטח</t>
  </si>
  <si>
    <t>פלוס ריבית לבעלי מניות</t>
  </si>
  <si>
    <t>הלוואות בעלי מניות</t>
  </si>
  <si>
    <t>שווי במכפיל 20</t>
  </si>
  <si>
    <t>מינוס ריבית שמשלמים המלווים לבנקים</t>
  </si>
  <si>
    <t>רווח לבעלי המניות ממניף לפני מס</t>
  </si>
  <si>
    <t>רווח לבעלי המניות אחרי מס</t>
  </si>
  <si>
    <t>מזומן משועבד במקדם 50%</t>
  </si>
  <si>
    <t>שווי חלקה של מבטח פלוס מזומן משועבד</t>
  </si>
  <si>
    <t>תוספת עלויות חברה ציבורית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</si>
</sst>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166" formatCode="0.0%"/>
    <numFmt numFmtId="167" formatCode="_ &quot;₪&quot;\ * #,##0_ ;_ &quot;₪&quot;\ * \-#,##0_ ;_ &quot;₪&quot;\ * &quot;-&quot;??_ ;_ @_ 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/>
    <xf numFmtId="167" fontId="0" fillId="0" borderId="1" xfId="2" applyNumberFormat="1" applyFont="1" applyBorder="1"/>
    <xf numFmtId="0" fontId="2" fillId="2" borderId="1" xfId="0" applyFont="1" applyFill="1" applyBorder="1" applyAlignment="1">
      <alignment wrapText="1"/>
    </xf>
    <xf numFmtId="0" fontId="0" fillId="0" borderId="2" xfId="0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167" fontId="0" fillId="0" borderId="6" xfId="2" applyNumberFormat="1" applyFont="1" applyBorder="1"/>
    <xf numFmtId="0" fontId="2" fillId="2" borderId="5" xfId="0" applyFont="1" applyFill="1" applyBorder="1" applyAlignment="1">
      <alignment wrapText="1"/>
    </xf>
    <xf numFmtId="0" fontId="2" fillId="2" borderId="7" xfId="0" applyFont="1" applyFill="1" applyBorder="1"/>
    <xf numFmtId="167" fontId="0" fillId="0" borderId="8" xfId="2" applyNumberFormat="1" applyFont="1" applyBorder="1"/>
    <xf numFmtId="167" fontId="0" fillId="0" borderId="9" xfId="2" applyNumberFormat="1" applyFont="1" applyBorder="1"/>
    <xf numFmtId="0" fontId="2" fillId="2" borderId="7" xfId="0" applyFont="1" applyFill="1" applyBorder="1" applyAlignment="1">
      <alignment wrapText="1"/>
    </xf>
    <xf numFmtId="9" fontId="0" fillId="0" borderId="1" xfId="1" applyFont="1" applyBorder="1"/>
    <xf numFmtId="166" fontId="0" fillId="0" borderId="1" xfId="1" applyNumberFormat="1" applyFont="1" applyBorder="1"/>
    <xf numFmtId="10" fontId="0" fillId="0" borderId="1" xfId="1" applyNumberFormat="1" applyFont="1" applyBorder="1"/>
    <xf numFmtId="0" fontId="2" fillId="2" borderId="10" xfId="0" applyFont="1" applyFill="1" applyBorder="1" applyAlignment="1">
      <alignment wrapText="1"/>
    </xf>
    <xf numFmtId="167" fontId="0" fillId="0" borderId="1" xfId="2" applyNumberFormat="1" applyFont="1" applyBorder="1" applyAlignment="1">
      <alignment wrapText="1"/>
    </xf>
    <xf numFmtId="167" fontId="0" fillId="0" borderId="1" xfId="2" applyNumberFormat="1" applyFont="1" applyBorder="1" applyAlignment="1">
      <alignment horizontal="right" wrapText="1"/>
    </xf>
    <xf numFmtId="10" fontId="0" fillId="0" borderId="1" xfId="1" applyNumberFormat="1" applyFont="1" applyBorder="1" applyAlignment="1">
      <alignment horizontal="right" wrapText="1"/>
    </xf>
    <xf numFmtId="10" fontId="0" fillId="0" borderId="11" xfId="1" applyNumberFormat="1" applyFont="1" applyBorder="1"/>
    <xf numFmtId="167" fontId="0" fillId="0" borderId="0" xfId="2" applyNumberFormat="1" applyFont="1" applyBorder="1" applyAlignment="1">
      <alignment wrapText="1"/>
    </xf>
    <xf numFmtId="167" fontId="0" fillId="0" borderId="0" xfId="2" applyNumberFormat="1" applyFont="1" applyFill="1" applyBorder="1"/>
    <xf numFmtId="44" fontId="0" fillId="0" borderId="0" xfId="0" applyNumberFormat="1"/>
    <xf numFmtId="0" fontId="2" fillId="2" borderId="0" xfId="0" applyFont="1" applyFill="1" applyBorder="1"/>
    <xf numFmtId="167" fontId="0" fillId="0" borderId="12" xfId="2" applyNumberFormat="1" applyFont="1" applyBorder="1"/>
    <xf numFmtId="10" fontId="0" fillId="3" borderId="8" xfId="1" applyNumberFormat="1" applyFont="1" applyFill="1" applyBorder="1"/>
    <xf numFmtId="0" fontId="0" fillId="0" borderId="0" xfId="0" applyBorder="1"/>
    <xf numFmtId="167" fontId="0" fillId="3" borderId="1" xfId="2" applyNumberFormat="1" applyFont="1" applyFill="1" applyBorder="1"/>
    <xf numFmtId="167" fontId="0" fillId="0" borderId="1" xfId="1" applyNumberFormat="1" applyFont="1" applyBorder="1"/>
    <xf numFmtId="167" fontId="0" fillId="0" borderId="6" xfId="2" applyNumberFormat="1" applyFont="1" applyBorder="1" applyAlignment="1">
      <alignment wrapText="1"/>
    </xf>
    <xf numFmtId="167" fontId="0" fillId="0" borderId="8" xfId="2" applyNumberFormat="1" applyFont="1" applyBorder="1" applyAlignment="1">
      <alignment wrapText="1"/>
    </xf>
    <xf numFmtId="167" fontId="0" fillId="0" borderId="9" xfId="2" applyNumberFormat="1" applyFont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7" xfId="0" applyFont="1" applyFill="1" applyBorder="1"/>
    <xf numFmtId="167" fontId="0" fillId="0" borderId="2" xfId="2" applyNumberFormat="1" applyFont="1" applyBorder="1" applyAlignment="1">
      <alignment wrapText="1"/>
    </xf>
    <xf numFmtId="167" fontId="0" fillId="0" borderId="3" xfId="2" applyNumberFormat="1" applyFont="1" applyBorder="1" applyAlignment="1">
      <alignment wrapText="1"/>
    </xf>
    <xf numFmtId="167" fontId="0" fillId="0" borderId="4" xfId="2" applyNumberFormat="1" applyFont="1" applyBorder="1" applyAlignment="1">
      <alignment wrapText="1"/>
    </xf>
    <xf numFmtId="167" fontId="0" fillId="0" borderId="5" xfId="2" applyNumberFormat="1" applyFont="1" applyBorder="1" applyAlignment="1">
      <alignment wrapText="1"/>
    </xf>
    <xf numFmtId="167" fontId="0" fillId="0" borderId="7" xfId="2" applyNumberFormat="1" applyFont="1" applyBorder="1" applyAlignment="1">
      <alignment wrapText="1"/>
    </xf>
    <xf numFmtId="167" fontId="0" fillId="3" borderId="8" xfId="2" applyNumberFormat="1" applyFont="1" applyFill="1" applyBorder="1" applyAlignment="1">
      <alignment wrapText="1"/>
    </xf>
    <xf numFmtId="167" fontId="0" fillId="3" borderId="9" xfId="2" applyNumberFormat="1" applyFont="1" applyFill="1" applyBorder="1" applyAlignment="1">
      <alignment wrapText="1"/>
    </xf>
    <xf numFmtId="167" fontId="0" fillId="0" borderId="6" xfId="2" applyNumberFormat="1" applyFont="1" applyBorder="1" applyAlignment="1">
      <alignment horizontal="right" wrapText="1"/>
    </xf>
    <xf numFmtId="166" fontId="0" fillId="0" borderId="6" xfId="1" applyNumberFormat="1" applyFont="1" applyBorder="1"/>
    <xf numFmtId="10" fontId="0" fillId="3" borderId="9" xfId="1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 wrapText="1"/>
    </xf>
    <xf numFmtId="10" fontId="0" fillId="0" borderId="6" xfId="1" applyNumberFormat="1" applyFont="1" applyBorder="1"/>
    <xf numFmtId="0" fontId="2" fillId="2" borderId="7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wrapText="1"/>
    </xf>
    <xf numFmtId="167" fontId="0" fillId="0" borderId="6" xfId="1" applyNumberFormat="1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6B6C4-529A-4FE2-8919-2B90DE03DB9C}">
  <dimension ref="A1:L87"/>
  <sheetViews>
    <sheetView rightToLeft="1" tabSelected="1" zoomScale="85" zoomScaleNormal="85" workbookViewId="0">
      <selection activeCell="A91" sqref="A91:XFD91"/>
    </sheetView>
  </sheetViews>
  <sheetFormatPr defaultRowHeight="14.25" x14ac:dyDescent="0.65"/>
  <cols>
    <col min="1" max="1" width="21.5390625" customWidth="1"/>
    <col min="2" max="2" width="20.375" customWidth="1"/>
    <col min="3" max="3" width="16.9140625" customWidth="1"/>
    <col min="4" max="4" width="15.08203125" customWidth="1"/>
    <col min="5" max="5" width="12.83203125" bestFit="1" customWidth="1"/>
  </cols>
  <sheetData>
    <row r="1" spans="1:6" ht="14.5" x14ac:dyDescent="0.7">
      <c r="A1" s="4"/>
      <c r="B1" s="5">
        <v>2019</v>
      </c>
      <c r="C1" s="6">
        <v>2018</v>
      </c>
      <c r="D1" s="6">
        <v>2017</v>
      </c>
      <c r="E1" s="25">
        <v>2016</v>
      </c>
    </row>
    <row r="2" spans="1:6" ht="14.5" x14ac:dyDescent="0.7">
      <c r="A2" s="7" t="s">
        <v>0</v>
      </c>
      <c r="B2" s="2">
        <v>599597</v>
      </c>
      <c r="C2" s="8">
        <v>454320</v>
      </c>
      <c r="D2" s="8">
        <v>376176</v>
      </c>
    </row>
    <row r="3" spans="1:6" ht="14.5" x14ac:dyDescent="0.7">
      <c r="A3" s="9" t="s">
        <v>4</v>
      </c>
      <c r="B3" s="2">
        <v>480518</v>
      </c>
      <c r="C3" s="8">
        <v>380909</v>
      </c>
      <c r="D3" s="8">
        <v>308096</v>
      </c>
      <c r="E3" s="24">
        <f>(E6/D6)*D3</f>
        <v>239728.9411764706</v>
      </c>
    </row>
    <row r="4" spans="1:6" ht="14.5" x14ac:dyDescent="0.7">
      <c r="A4" s="7" t="s">
        <v>1</v>
      </c>
      <c r="B4" s="2">
        <v>560424</v>
      </c>
      <c r="C4" s="8">
        <v>435286</v>
      </c>
      <c r="D4" s="8">
        <v>367912</v>
      </c>
      <c r="E4" s="24">
        <f>(E6/D6)*D4</f>
        <v>286271.66274835652</v>
      </c>
      <c r="F4" t="s">
        <v>26</v>
      </c>
    </row>
    <row r="5" spans="1:6" ht="14.5" x14ac:dyDescent="0.7">
      <c r="A5" s="7" t="s">
        <v>3</v>
      </c>
      <c r="B5" s="2">
        <v>39173</v>
      </c>
      <c r="C5" s="8">
        <v>18249</v>
      </c>
      <c r="D5" s="8">
        <v>7453</v>
      </c>
    </row>
    <row r="6" spans="1:6" ht="14.5" x14ac:dyDescent="0.7">
      <c r="A6" s="7" t="s">
        <v>10</v>
      </c>
      <c r="B6" s="2">
        <v>68744</v>
      </c>
      <c r="C6" s="8">
        <v>55235</v>
      </c>
      <c r="D6" s="8">
        <v>40919</v>
      </c>
      <c r="E6" s="23">
        <v>31839</v>
      </c>
    </row>
    <row r="7" spans="1:6" ht="14.5" x14ac:dyDescent="0.7">
      <c r="A7" s="7" t="s">
        <v>2</v>
      </c>
      <c r="B7" s="2">
        <v>23831</v>
      </c>
      <c r="C7" s="8">
        <v>14559</v>
      </c>
      <c r="D7" s="8">
        <v>10705</v>
      </c>
    </row>
    <row r="8" spans="1:6" ht="15.25" thickBot="1" x14ac:dyDescent="0.85">
      <c r="A8" s="10" t="s">
        <v>6</v>
      </c>
      <c r="B8" s="11">
        <v>18069</v>
      </c>
      <c r="C8" s="12">
        <v>10770</v>
      </c>
      <c r="D8" s="12">
        <v>7703</v>
      </c>
    </row>
    <row r="10" spans="1:6" ht="14.5" x14ac:dyDescent="0.7">
      <c r="A10" s="3"/>
      <c r="B10" s="1">
        <v>2019</v>
      </c>
      <c r="C10" s="1">
        <v>2018</v>
      </c>
    </row>
    <row r="11" spans="1:6" ht="14.5" x14ac:dyDescent="0.7">
      <c r="A11" s="9" t="s">
        <v>5</v>
      </c>
      <c r="B11" s="2">
        <f>AVERAGE(B5:C5)</f>
        <v>28711</v>
      </c>
      <c r="C11" s="2">
        <f>AVERAGE(C5:D5)</f>
        <v>12851</v>
      </c>
    </row>
    <row r="12" spans="1:6" ht="29" x14ac:dyDescent="0.7">
      <c r="A12" s="9" t="s">
        <v>7</v>
      </c>
      <c r="B12" s="15">
        <f>B8/B11</f>
        <v>0.62934067082302947</v>
      </c>
      <c r="C12" s="15">
        <f>C8/C11</f>
        <v>0.83806707649210177</v>
      </c>
    </row>
    <row r="13" spans="1:6" ht="29" x14ac:dyDescent="0.7">
      <c r="A13" s="17" t="s">
        <v>8</v>
      </c>
      <c r="B13" s="21">
        <f>B6/AVERAGE(B3:C3)</f>
        <v>0.15960493460269995</v>
      </c>
      <c r="C13" s="21">
        <f>C6/AVERAGE(C3:D3)</f>
        <v>0.16033265360919005</v>
      </c>
    </row>
    <row r="14" spans="1:6" ht="29" x14ac:dyDescent="0.7">
      <c r="A14" s="3" t="s">
        <v>9</v>
      </c>
      <c r="B14" s="15">
        <f>B7/B6</f>
        <v>0.34666298149656699</v>
      </c>
      <c r="C14" s="14">
        <f>C7/C6</f>
        <v>0.26358287317823842</v>
      </c>
    </row>
    <row r="15" spans="1:6" ht="14.5" x14ac:dyDescent="0.7">
      <c r="A15" s="3" t="s">
        <v>14</v>
      </c>
      <c r="B15" s="16">
        <f>(B7-B8)/B7</f>
        <v>0.24178590910998279</v>
      </c>
      <c r="C15" s="16">
        <f>(C7-C8)/C7</f>
        <v>0.26025139089223159</v>
      </c>
    </row>
    <row r="18" spans="1:4" ht="15" thickBot="1" x14ac:dyDescent="0.8"/>
    <row r="19" spans="1:4" ht="15.25" thickBot="1" x14ac:dyDescent="0.85">
      <c r="A19" s="4"/>
      <c r="B19" s="36">
        <v>2019</v>
      </c>
      <c r="C19" s="37">
        <v>2018</v>
      </c>
      <c r="D19" s="37">
        <v>2017</v>
      </c>
    </row>
    <row r="20" spans="1:4" ht="14.5" x14ac:dyDescent="0.7">
      <c r="A20" s="34" t="s">
        <v>10</v>
      </c>
      <c r="B20" s="38">
        <v>68744</v>
      </c>
      <c r="C20" s="39">
        <v>55235</v>
      </c>
      <c r="D20" s="40">
        <v>40919</v>
      </c>
    </row>
    <row r="21" spans="1:4" ht="14.5" x14ac:dyDescent="0.7">
      <c r="A21" s="34" t="s">
        <v>36</v>
      </c>
      <c r="B21" s="41" t="s">
        <v>19</v>
      </c>
      <c r="C21" s="18" t="s">
        <v>18</v>
      </c>
      <c r="D21" s="31" t="s">
        <v>17</v>
      </c>
    </row>
    <row r="22" spans="1:4" ht="14.5" x14ac:dyDescent="0.7">
      <c r="A22" s="34" t="s">
        <v>12</v>
      </c>
      <c r="B22" s="41" t="s">
        <v>20</v>
      </c>
      <c r="C22" s="18" t="s">
        <v>21</v>
      </c>
      <c r="D22" s="31" t="s">
        <v>22</v>
      </c>
    </row>
    <row r="23" spans="1:4" ht="14.5" x14ac:dyDescent="0.7">
      <c r="A23" s="34" t="s">
        <v>13</v>
      </c>
      <c r="B23" s="41" t="s">
        <v>25</v>
      </c>
      <c r="C23" s="18" t="s">
        <v>24</v>
      </c>
      <c r="D23" s="31" t="s">
        <v>23</v>
      </c>
    </row>
    <row r="24" spans="1:4" ht="14.5" x14ac:dyDescent="0.7">
      <c r="A24" s="34" t="s">
        <v>2</v>
      </c>
      <c r="B24" s="41">
        <v>23831</v>
      </c>
      <c r="C24" s="18">
        <v>14559</v>
      </c>
      <c r="D24" s="31">
        <v>10705</v>
      </c>
    </row>
    <row r="25" spans="1:4" ht="15.25" thickBot="1" x14ac:dyDescent="0.85">
      <c r="A25" s="35" t="s">
        <v>6</v>
      </c>
      <c r="B25" s="42">
        <v>18069</v>
      </c>
      <c r="C25" s="32">
        <v>10770</v>
      </c>
      <c r="D25" s="33">
        <v>7703</v>
      </c>
    </row>
    <row r="26" spans="1:4" ht="15" thickBot="1" x14ac:dyDescent="0.8"/>
    <row r="27" spans="1:4" ht="14.5" x14ac:dyDescent="0.7">
      <c r="A27" s="4"/>
      <c r="B27" s="5">
        <v>2019</v>
      </c>
      <c r="C27" s="5">
        <v>2018</v>
      </c>
      <c r="D27" s="6">
        <v>2017</v>
      </c>
    </row>
    <row r="28" spans="1:4" ht="14.5" x14ac:dyDescent="0.7">
      <c r="A28" s="9" t="s">
        <v>10</v>
      </c>
      <c r="B28" s="18">
        <v>68744</v>
      </c>
      <c r="C28" s="18">
        <v>55235</v>
      </c>
      <c r="D28" s="31">
        <v>40919</v>
      </c>
    </row>
    <row r="29" spans="1:4" ht="14.5" x14ac:dyDescent="0.7">
      <c r="A29" s="9" t="s">
        <v>36</v>
      </c>
      <c r="B29" s="18" t="s">
        <v>19</v>
      </c>
      <c r="C29" s="18" t="s">
        <v>18</v>
      </c>
      <c r="D29" s="31" t="s">
        <v>17</v>
      </c>
    </row>
    <row r="30" spans="1:4" ht="14.5" x14ac:dyDescent="0.7">
      <c r="A30" s="9" t="s">
        <v>12</v>
      </c>
      <c r="B30" s="18" t="s">
        <v>20</v>
      </c>
      <c r="C30" s="18" t="s">
        <v>21</v>
      </c>
      <c r="D30" s="31" t="s">
        <v>22</v>
      </c>
    </row>
    <row r="31" spans="1:4" ht="14.5" x14ac:dyDescent="0.7">
      <c r="A31" s="9" t="s">
        <v>13</v>
      </c>
      <c r="B31" s="18">
        <v>6000</v>
      </c>
      <c r="C31" s="18">
        <v>5500</v>
      </c>
      <c r="D31" s="31">
        <v>5000</v>
      </c>
    </row>
    <row r="32" spans="1:4" ht="14.5" x14ac:dyDescent="0.7">
      <c r="A32" s="9" t="s">
        <v>2</v>
      </c>
      <c r="B32" s="18">
        <v>23831</v>
      </c>
      <c r="C32" s="18">
        <v>14559</v>
      </c>
      <c r="D32" s="31">
        <v>10705</v>
      </c>
    </row>
    <row r="33" spans="1:5" ht="15.25" thickBot="1" x14ac:dyDescent="0.85">
      <c r="A33" s="13" t="s">
        <v>6</v>
      </c>
      <c r="B33" s="32">
        <v>18069</v>
      </c>
      <c r="C33" s="32">
        <v>10770</v>
      </c>
      <c r="D33" s="33">
        <v>7703</v>
      </c>
    </row>
    <row r="34" spans="1:5" ht="15.25" thickBot="1" x14ac:dyDescent="0.85">
      <c r="A34" s="9" t="s">
        <v>35</v>
      </c>
      <c r="B34" s="43">
        <f>B28-B31-B32</f>
        <v>38913</v>
      </c>
      <c r="C34" s="43">
        <f t="shared" ref="C34:D34" si="0">C28-C31-C32</f>
        <v>35176</v>
      </c>
      <c r="D34" s="44">
        <f t="shared" si="0"/>
        <v>25214</v>
      </c>
    </row>
    <row r="35" spans="1:5" x14ac:dyDescent="0.65">
      <c r="A35" s="22"/>
      <c r="B35" s="22"/>
      <c r="C35" s="22"/>
      <c r="D35" s="22"/>
    </row>
    <row r="36" spans="1:5" ht="15" thickBot="1" x14ac:dyDescent="0.8"/>
    <row r="37" spans="1:5" ht="14.5" x14ac:dyDescent="0.7">
      <c r="A37" s="4"/>
      <c r="B37" s="5">
        <v>2019</v>
      </c>
      <c r="C37" s="6">
        <v>2018</v>
      </c>
      <c r="D37" s="6">
        <v>2018</v>
      </c>
    </row>
    <row r="38" spans="1:5" ht="14.5" x14ac:dyDescent="0.7">
      <c r="A38" s="3" t="s">
        <v>11</v>
      </c>
      <c r="B38" s="19">
        <f>B34</f>
        <v>38913</v>
      </c>
      <c r="C38" s="19">
        <f t="shared" ref="C38:D38" si="1">C34</f>
        <v>35176</v>
      </c>
      <c r="D38" s="19">
        <f t="shared" si="1"/>
        <v>25214</v>
      </c>
    </row>
    <row r="39" spans="1:5" ht="14.5" x14ac:dyDescent="0.7">
      <c r="A39" s="3" t="s">
        <v>15</v>
      </c>
      <c r="B39" s="19">
        <f>AVERAGE(B4:C4)</f>
        <v>497855</v>
      </c>
      <c r="C39" s="19">
        <f>AVERAGE(C4:D4)</f>
        <v>401599</v>
      </c>
      <c r="D39" s="19">
        <f>AVERAGE(D4:E4)</f>
        <v>327091.83137417829</v>
      </c>
    </row>
    <row r="40" spans="1:5" ht="29" x14ac:dyDescent="0.7">
      <c r="A40" s="3" t="s">
        <v>16</v>
      </c>
      <c r="B40" s="20">
        <f>B38/B39</f>
        <v>7.81613120286027E-2</v>
      </c>
      <c r="C40" s="20">
        <f t="shared" ref="C40:D40" si="2">C38/C39</f>
        <v>8.7589859536502834E-2</v>
      </c>
      <c r="D40" s="20">
        <f t="shared" si="2"/>
        <v>7.7085385758705549E-2</v>
      </c>
    </row>
    <row r="42" spans="1:5" ht="15" thickBot="1" x14ac:dyDescent="0.8"/>
    <row r="43" spans="1:5" ht="14.5" x14ac:dyDescent="0.7">
      <c r="A43" s="4"/>
      <c r="B43" s="5">
        <v>2019</v>
      </c>
      <c r="C43" s="5">
        <v>2018</v>
      </c>
      <c r="D43" s="6">
        <v>2017</v>
      </c>
      <c r="E43" s="25">
        <v>2016</v>
      </c>
    </row>
    <row r="44" spans="1:5" ht="29" x14ac:dyDescent="0.7">
      <c r="A44" s="9" t="s">
        <v>37</v>
      </c>
      <c r="B44" s="19">
        <v>38913</v>
      </c>
      <c r="C44" s="19">
        <v>35176</v>
      </c>
      <c r="D44" s="45">
        <v>25214</v>
      </c>
      <c r="E44" s="24"/>
    </row>
    <row r="45" spans="1:5" ht="29" x14ac:dyDescent="0.7">
      <c r="A45" s="9" t="s">
        <v>38</v>
      </c>
      <c r="B45" s="19">
        <f>1%*(B3-C3)</f>
        <v>996.09</v>
      </c>
      <c r="C45" s="19">
        <f t="shared" ref="C45:D45" si="3">1%*(C3-D3)</f>
        <v>728.13</v>
      </c>
      <c r="D45" s="45">
        <f t="shared" si="3"/>
        <v>683.67058823529396</v>
      </c>
      <c r="E45" s="24"/>
    </row>
    <row r="46" spans="1:5" ht="29" x14ac:dyDescent="0.7">
      <c r="A46" s="9" t="s">
        <v>39</v>
      </c>
      <c r="B46" s="19">
        <f>B44-B45</f>
        <v>37916.910000000003</v>
      </c>
      <c r="C46" s="19">
        <f t="shared" ref="C46:D46" si="4">C44-C45</f>
        <v>34447.870000000003</v>
      </c>
      <c r="D46" s="45">
        <f t="shared" si="4"/>
        <v>24530.329411764706</v>
      </c>
      <c r="E46" s="24"/>
    </row>
    <row r="47" spans="1:5" ht="14.5" x14ac:dyDescent="0.7">
      <c r="A47" s="9" t="s">
        <v>1</v>
      </c>
      <c r="B47" s="2">
        <v>560424</v>
      </c>
      <c r="C47" s="2">
        <v>435286</v>
      </c>
      <c r="D47" s="8">
        <v>367912</v>
      </c>
      <c r="E47" s="24">
        <v>286271.66274835652</v>
      </c>
    </row>
    <row r="48" spans="1:5" ht="29" x14ac:dyDescent="0.7">
      <c r="A48" s="9" t="s">
        <v>27</v>
      </c>
      <c r="B48" s="2">
        <v>303066</v>
      </c>
      <c r="C48" s="2">
        <v>228841</v>
      </c>
      <c r="D48" s="8">
        <v>194993</v>
      </c>
      <c r="E48" s="24"/>
    </row>
    <row r="49" spans="1:5" ht="58" x14ac:dyDescent="0.7">
      <c r="A49" s="9" t="s">
        <v>33</v>
      </c>
      <c r="B49" s="2">
        <f>B48/0.7383</f>
        <v>410491.67005282408</v>
      </c>
      <c r="C49" s="2">
        <f t="shared" ref="C49:D49" si="5">C48/0.7383</f>
        <v>309956.65718542598</v>
      </c>
      <c r="D49" s="8">
        <f t="shared" si="5"/>
        <v>264110.79506975488</v>
      </c>
      <c r="E49" s="24">
        <f>(E47/D47)*D49</f>
        <v>205504.13265783442</v>
      </c>
    </row>
    <row r="50" spans="1:5" ht="29" x14ac:dyDescent="0.7">
      <c r="A50" s="9" t="s">
        <v>29</v>
      </c>
      <c r="B50" s="2">
        <f>B47-B49</f>
        <v>149932.32994717592</v>
      </c>
      <c r="C50" s="2">
        <f t="shared" ref="C50:D50" si="6">C47-C49</f>
        <v>125329.34281457402</v>
      </c>
      <c r="D50" s="8">
        <f t="shared" si="6"/>
        <v>103801.20493024512</v>
      </c>
      <c r="E50" s="24">
        <f>(E47/D47)*D50</f>
        <v>80767.530090522123</v>
      </c>
    </row>
    <row r="51" spans="1:5" ht="29" x14ac:dyDescent="0.7">
      <c r="A51" s="9" t="s">
        <v>28</v>
      </c>
      <c r="B51" s="15">
        <v>2.5000000000000001E-2</v>
      </c>
      <c r="C51" s="15">
        <v>2.5000000000000001E-2</v>
      </c>
      <c r="D51" s="46">
        <v>2.5000000000000001E-2</v>
      </c>
    </row>
    <row r="52" spans="1:5" ht="14.5" x14ac:dyDescent="0.7">
      <c r="A52" s="9" t="s">
        <v>30</v>
      </c>
      <c r="B52" s="2">
        <f>B51*AVERAGE(B50,C50)</f>
        <v>3440.7709095218743</v>
      </c>
      <c r="C52" s="2">
        <f t="shared" ref="C52:D52" si="7">C51*AVERAGE(C50,D50)</f>
        <v>2864.1318468102395</v>
      </c>
      <c r="D52" s="8">
        <f t="shared" si="7"/>
        <v>2307.1091877595909</v>
      </c>
    </row>
    <row r="53" spans="1:5" ht="29" x14ac:dyDescent="0.7">
      <c r="A53" s="9" t="s">
        <v>31</v>
      </c>
      <c r="B53" s="2">
        <f>B46-B52</f>
        <v>34476.139090478129</v>
      </c>
      <c r="C53" s="2">
        <f t="shared" ref="C53:D53" si="8">C46-C52</f>
        <v>31583.738153189763</v>
      </c>
      <c r="D53" s="8">
        <f t="shared" si="8"/>
        <v>22223.220224005116</v>
      </c>
    </row>
    <row r="54" spans="1:5" ht="29" x14ac:dyDescent="0.7">
      <c r="A54" s="9" t="s">
        <v>32</v>
      </c>
      <c r="B54" s="2">
        <f>AVERAGE(B49:C49)</f>
        <v>360224.16361912503</v>
      </c>
      <c r="C54" s="2">
        <f t="shared" ref="C54:D54" si="9">AVERAGE(C49:D49)</f>
        <v>287033.7261275904</v>
      </c>
      <c r="D54" s="8">
        <f t="shared" si="9"/>
        <v>234807.46386379463</v>
      </c>
    </row>
    <row r="55" spans="1:5" ht="29.75" thickBot="1" x14ac:dyDescent="0.85">
      <c r="A55" s="13" t="s">
        <v>34</v>
      </c>
      <c r="B55" s="27">
        <f>B53/B54</f>
        <v>9.5707458222960035E-2</v>
      </c>
      <c r="C55" s="27">
        <f t="shared" ref="C55:D55" si="10">C53/C54</f>
        <v>0.11003493763360185</v>
      </c>
      <c r="D55" s="47">
        <f t="shared" si="10"/>
        <v>9.4644437013706673E-2</v>
      </c>
    </row>
    <row r="57" spans="1:5" ht="15" thickBot="1" x14ac:dyDescent="0.8"/>
    <row r="58" spans="1:5" ht="14.5" x14ac:dyDescent="0.7">
      <c r="A58" s="4"/>
      <c r="B58" s="5">
        <v>2019</v>
      </c>
      <c r="C58" s="5">
        <v>2018</v>
      </c>
      <c r="D58" s="6">
        <v>2017</v>
      </c>
    </row>
    <row r="59" spans="1:5" ht="14.5" x14ac:dyDescent="0.7">
      <c r="A59" s="52" t="s">
        <v>6</v>
      </c>
      <c r="B59" s="2">
        <v>18069</v>
      </c>
      <c r="C59" s="2">
        <v>10770</v>
      </c>
      <c r="D59" s="8">
        <v>7703</v>
      </c>
    </row>
    <row r="60" spans="1:5" ht="14.5" x14ac:dyDescent="0.7">
      <c r="A60" s="53" t="s">
        <v>40</v>
      </c>
      <c r="B60" s="2">
        <v>410491.67005282408</v>
      </c>
      <c r="C60" s="2">
        <v>309956.65718542598</v>
      </c>
      <c r="D60" s="8">
        <v>264110.79506975488</v>
      </c>
      <c r="E60" s="24">
        <v>205504.13265783442</v>
      </c>
    </row>
    <row r="61" spans="1:5" ht="14.5" x14ac:dyDescent="0.7">
      <c r="A61" s="52" t="s">
        <v>41</v>
      </c>
      <c r="B61" s="16">
        <v>9.4853719439676479E-2</v>
      </c>
      <c r="C61" s="16">
        <v>0.10909741113737927</v>
      </c>
      <c r="D61" s="54">
        <v>9.3418236914447672E-2</v>
      </c>
    </row>
    <row r="62" spans="1:5" ht="14.5" x14ac:dyDescent="0.7">
      <c r="A62" s="52" t="s">
        <v>42</v>
      </c>
      <c r="B62" s="2">
        <v>34168.601751320602</v>
      </c>
      <c r="C62" s="2">
        <v>31314.636429635651</v>
      </c>
      <c r="D62" s="8">
        <v>21935.299288508577</v>
      </c>
    </row>
    <row r="63" spans="1:5" ht="29" x14ac:dyDescent="0.7">
      <c r="A63" s="53" t="s">
        <v>43</v>
      </c>
      <c r="B63" s="2">
        <f>2.5%*AVERAGE(B60:C60)</f>
        <v>9005.6040904781257</v>
      </c>
      <c r="C63" s="2">
        <f t="shared" ref="C63:D63" si="11">2.5%*AVERAGE(C60:D60)</f>
        <v>7175.8431531897604</v>
      </c>
      <c r="D63" s="8">
        <f t="shared" si="11"/>
        <v>5870.1865965948664</v>
      </c>
    </row>
    <row r="64" spans="1:5" ht="29" x14ac:dyDescent="0.7">
      <c r="A64" s="53" t="s">
        <v>57</v>
      </c>
      <c r="B64" s="2">
        <v>1000</v>
      </c>
      <c r="C64" s="2"/>
      <c r="D64" s="8"/>
    </row>
    <row r="65" spans="1:12" ht="14.5" x14ac:dyDescent="0.7">
      <c r="A65" s="52" t="s">
        <v>44</v>
      </c>
      <c r="B65" s="2">
        <f>(B62-B63-B64)*0.77</f>
        <v>18605.508198848707</v>
      </c>
      <c r="C65" s="2">
        <f t="shared" ref="C65:D65" si="12">(C62-C63)*0.77</f>
        <v>18586.870822863337</v>
      </c>
      <c r="D65" s="8">
        <f t="shared" si="12"/>
        <v>12370.136772773556</v>
      </c>
    </row>
    <row r="66" spans="1:12" ht="15.25" thickBot="1" x14ac:dyDescent="0.85">
      <c r="A66" s="55" t="s">
        <v>45</v>
      </c>
      <c r="B66" s="11">
        <f>B59+B65</f>
        <v>36674.508198848707</v>
      </c>
      <c r="C66" s="11">
        <f>C59+C65</f>
        <v>29356.870822863337</v>
      </c>
      <c r="D66" s="12">
        <f>D59+D65</f>
        <v>20073.136772773556</v>
      </c>
    </row>
    <row r="67" spans="1:12" ht="14.5" x14ac:dyDescent="0.7">
      <c r="A67" s="51" t="s">
        <v>51</v>
      </c>
      <c r="B67" s="26">
        <f>B66*20</f>
        <v>733490.16397697409</v>
      </c>
    </row>
    <row r="68" spans="1:12" ht="14.5" x14ac:dyDescent="0.7">
      <c r="A68" s="49" t="s">
        <v>45</v>
      </c>
      <c r="B68" s="2">
        <f>B61+B67</f>
        <v>733490.25883069355</v>
      </c>
      <c r="C68" s="28"/>
      <c r="D68" s="28"/>
      <c r="E68" s="28"/>
    </row>
    <row r="69" spans="1:12" ht="14.5" x14ac:dyDescent="0.7">
      <c r="A69" s="48" t="s">
        <v>46</v>
      </c>
      <c r="B69" s="29">
        <f>B68*0.7383</f>
        <v>541535.85809470096</v>
      </c>
      <c r="C69" s="28"/>
      <c r="D69" s="28"/>
      <c r="E69" s="28"/>
    </row>
    <row r="70" spans="1:12" ht="14.5" x14ac:dyDescent="0.7">
      <c r="A70" s="50" t="s">
        <v>47</v>
      </c>
      <c r="B70" s="2">
        <v>83564</v>
      </c>
      <c r="C70" s="28"/>
      <c r="D70" s="28"/>
      <c r="E70" s="28"/>
    </row>
    <row r="71" spans="1:12" ht="14.5" x14ac:dyDescent="0.7">
      <c r="A71" s="50" t="s">
        <v>48</v>
      </c>
      <c r="B71" s="29">
        <f>B69+B70</f>
        <v>625099.85809470096</v>
      </c>
      <c r="C71" s="28"/>
      <c r="D71" s="28"/>
      <c r="E71" s="28"/>
    </row>
    <row r="72" spans="1:12" x14ac:dyDescent="0.6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15" thickBot="1" x14ac:dyDescent="0.8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4.5" x14ac:dyDescent="0.7">
      <c r="A74" s="4"/>
      <c r="B74" s="5">
        <v>2019</v>
      </c>
      <c r="C74" s="5">
        <v>2018</v>
      </c>
      <c r="D74" s="6">
        <v>2017</v>
      </c>
      <c r="E74" s="28"/>
      <c r="F74" s="28"/>
      <c r="G74" s="28"/>
      <c r="H74" s="28"/>
      <c r="I74" s="28"/>
      <c r="J74" s="28"/>
      <c r="K74" s="28"/>
      <c r="L74" s="28"/>
    </row>
    <row r="75" spans="1:12" ht="14.5" x14ac:dyDescent="0.7">
      <c r="A75" s="9" t="s">
        <v>2</v>
      </c>
      <c r="B75" s="2">
        <f>B7</f>
        <v>23831</v>
      </c>
      <c r="C75" s="2">
        <v>10770</v>
      </c>
      <c r="D75" s="8">
        <v>7703</v>
      </c>
      <c r="E75" s="28"/>
      <c r="F75" s="28"/>
      <c r="G75" s="28"/>
      <c r="H75" s="28"/>
      <c r="I75" s="28"/>
      <c r="J75" s="28"/>
      <c r="K75" s="28"/>
      <c r="L75" s="28"/>
    </row>
    <row r="76" spans="1:12" ht="14.5" x14ac:dyDescent="0.7">
      <c r="A76" s="9" t="s">
        <v>50</v>
      </c>
      <c r="B76" s="2">
        <v>410491.67005282408</v>
      </c>
      <c r="C76" s="2">
        <v>309956.65718542598</v>
      </c>
      <c r="D76" s="8">
        <v>264110.79506975488</v>
      </c>
      <c r="E76" s="28"/>
      <c r="F76" s="28"/>
      <c r="G76" s="28"/>
      <c r="H76" s="28"/>
      <c r="I76" s="28"/>
      <c r="J76" s="28"/>
      <c r="K76" s="28"/>
      <c r="L76" s="28"/>
    </row>
    <row r="77" spans="1:12" ht="14.5" x14ac:dyDescent="0.7">
      <c r="A77" s="9" t="s">
        <v>49</v>
      </c>
      <c r="B77" s="30">
        <f>B62</f>
        <v>34168.601751320602</v>
      </c>
      <c r="C77" s="30">
        <f t="shared" ref="C77:D77" si="13">C62</f>
        <v>31314.636429635651</v>
      </c>
      <c r="D77" s="57">
        <f t="shared" si="13"/>
        <v>21935.299288508577</v>
      </c>
      <c r="E77" s="28"/>
      <c r="F77" s="28"/>
      <c r="G77" s="28"/>
      <c r="H77" s="28"/>
      <c r="I77" s="28"/>
      <c r="J77" s="28"/>
      <c r="K77" s="28"/>
      <c r="L77" s="28"/>
    </row>
    <row r="78" spans="1:12" ht="29" x14ac:dyDescent="0.7">
      <c r="A78" s="9" t="s">
        <v>52</v>
      </c>
      <c r="B78" s="2">
        <f>0.01*B76</f>
        <v>4104.9167005282407</v>
      </c>
      <c r="C78" s="2">
        <f>0.01*C76</f>
        <v>3099.56657185426</v>
      </c>
      <c r="D78" s="8">
        <f>0.01*D76</f>
        <v>2641.1079506975489</v>
      </c>
      <c r="E78" s="28"/>
      <c r="F78" s="28"/>
      <c r="G78" s="28"/>
      <c r="H78" s="28"/>
      <c r="I78" s="28"/>
      <c r="J78" s="28"/>
      <c r="K78" s="28"/>
      <c r="L78" s="28"/>
    </row>
    <row r="79" spans="1:12" ht="29" x14ac:dyDescent="0.7">
      <c r="A79" s="9" t="s">
        <v>53</v>
      </c>
      <c r="B79" s="2">
        <f>B75+B77-B78</f>
        <v>53894.685050792359</v>
      </c>
      <c r="C79" s="2">
        <f>C75+C77-C78</f>
        <v>38985.069857781389</v>
      </c>
      <c r="D79" s="8">
        <f>D75+D77-D78</f>
        <v>26997.191337811029</v>
      </c>
      <c r="E79" s="28"/>
      <c r="F79" s="28"/>
      <c r="G79" s="28"/>
      <c r="H79" s="28"/>
      <c r="I79" s="28"/>
      <c r="J79" s="28"/>
      <c r="K79" s="28"/>
      <c r="L79" s="28"/>
    </row>
    <row r="80" spans="1:12" ht="29.75" thickBot="1" x14ac:dyDescent="0.85">
      <c r="A80" s="13" t="s">
        <v>54</v>
      </c>
      <c r="B80" s="11">
        <f>B79*0.77</f>
        <v>41498.907489110119</v>
      </c>
      <c r="C80" s="11">
        <f t="shared" ref="C80:D80" si="14">C79*0.77</f>
        <v>30018.503790491672</v>
      </c>
      <c r="D80" s="12">
        <f t="shared" si="14"/>
        <v>20787.837330114493</v>
      </c>
      <c r="E80" s="28"/>
      <c r="F80" s="28"/>
      <c r="G80" s="28"/>
      <c r="H80" s="28"/>
      <c r="I80" s="28"/>
      <c r="J80" s="28"/>
      <c r="K80" s="28"/>
      <c r="L80" s="28"/>
    </row>
    <row r="81" spans="1:4" ht="14.5" x14ac:dyDescent="0.7">
      <c r="A81" s="56" t="s">
        <v>51</v>
      </c>
      <c r="B81" s="26">
        <f>B80*20</f>
        <v>829978.14978220244</v>
      </c>
    </row>
    <row r="82" spans="1:4" ht="29" x14ac:dyDescent="0.7">
      <c r="A82" s="3" t="s">
        <v>45</v>
      </c>
      <c r="B82" s="2">
        <f>B77+B81</f>
        <v>864146.75153352309</v>
      </c>
      <c r="C82" s="28"/>
      <c r="D82" s="28"/>
    </row>
    <row r="83" spans="1:4" ht="14.5" x14ac:dyDescent="0.7">
      <c r="A83" s="3" t="s">
        <v>46</v>
      </c>
      <c r="B83" s="29">
        <f>B81*0.7383</f>
        <v>612772.86798420001</v>
      </c>
      <c r="C83" s="28"/>
      <c r="D83" s="28"/>
    </row>
    <row r="84" spans="1:4" ht="29" x14ac:dyDescent="0.7">
      <c r="A84" s="3" t="s">
        <v>55</v>
      </c>
      <c r="B84" s="2">
        <f>83500*0.5</f>
        <v>41750</v>
      </c>
    </row>
    <row r="85" spans="1:4" ht="29" x14ac:dyDescent="0.7">
      <c r="A85" s="3" t="s">
        <v>56</v>
      </c>
      <c r="B85" s="29">
        <f>SUM(B83:B84)</f>
        <v>654522.86798420001</v>
      </c>
    </row>
    <row r="87" spans="1:4" ht="14.75" customHeight="1" x14ac:dyDescent="0.65"/>
  </sheetData>
  <phoneticPr fontId="3" type="noConversion"/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הערכת שווי מניף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ShlomiArdan</dc:creator>
  <cp:lastModifiedBy>X</cp:lastModifiedBy>
  <dcterms:created xsi:type="dcterms:W3CDTF">2015-06-05T18:17:20Z</dcterms:created>
  <dcterms:modified xsi:type="dcterms:W3CDTF">2020-08-29T15:51:16Z</dcterms:modified>
</cp:coreProperties>
</file>